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erkovalucie\Desktop\ČZU_1\INFORM\Realizace\Dokumenty\Materiály\Rozpočet\"/>
    </mc:Choice>
  </mc:AlternateContent>
  <bookViews>
    <workbookView xWindow="0" yWindow="0" windowWidth="28800" windowHeight="11850" activeTab="1"/>
  </bookViews>
  <sheets>
    <sheet name="ROZPOČET" sheetId="5" r:id="rId1"/>
    <sheet name="Osobní náklady" sheetId="1" r:id="rId2"/>
    <sheet name="Cestovní náhrady" sheetId="3" r:id="rId3"/>
    <sheet name="Odpisy" sheetId="4" r:id="rId4"/>
  </sheets>
  <definedNames>
    <definedName name="_xlnm.Print_Area" localSheetId="1">'Osobní náklady'!$A$1:$R$7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E8" i="1"/>
  <c r="F8" i="1" s="1"/>
  <c r="G8" i="1" s="1"/>
  <c r="C25" i="5" l="1"/>
  <c r="C10" i="5"/>
  <c r="B10" i="5"/>
  <c r="B8" i="5" s="1"/>
  <c r="B9" i="5"/>
  <c r="G11" i="4"/>
  <c r="D11" i="4"/>
  <c r="J11" i="4" l="1"/>
  <c r="E9" i="1"/>
  <c r="F9" i="1" s="1"/>
  <c r="G9" i="1" s="1"/>
  <c r="H9" i="1" s="1"/>
  <c r="E10" i="1"/>
  <c r="F10" i="1" s="1"/>
  <c r="G10" i="1" s="1"/>
  <c r="H10" i="1" s="1"/>
  <c r="E11" i="1"/>
  <c r="F11" i="1" s="1"/>
  <c r="G11" i="1" s="1"/>
  <c r="H11" i="1" s="1"/>
  <c r="E12" i="1"/>
  <c r="F12" i="1" s="1"/>
  <c r="G12" i="1" s="1"/>
  <c r="H12" i="1" s="1"/>
  <c r="E13" i="1"/>
  <c r="F13" i="1" s="1"/>
  <c r="G13" i="1" s="1"/>
  <c r="H13" i="1" s="1"/>
  <c r="E14" i="1"/>
  <c r="E15" i="1"/>
  <c r="E16" i="1"/>
  <c r="F16" i="1" s="1"/>
  <c r="G16" i="1" s="1"/>
  <c r="H16" i="1" s="1"/>
  <c r="E17" i="1"/>
  <c r="E18" i="1"/>
  <c r="E19" i="1"/>
  <c r="F19" i="1" s="1"/>
  <c r="G19" i="1" s="1"/>
  <c r="H19" i="1" s="1"/>
  <c r="E20" i="1"/>
  <c r="F20" i="1" s="1"/>
  <c r="G20" i="1" s="1"/>
  <c r="H20" i="1" s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4" i="1"/>
  <c r="E25" i="1"/>
  <c r="E26" i="1"/>
  <c r="F26" i="1" s="1"/>
  <c r="G26" i="1" s="1"/>
  <c r="H26" i="1" s="1"/>
  <c r="E27" i="1"/>
  <c r="F27" i="1" s="1"/>
  <c r="G27" i="1" s="1"/>
  <c r="H27" i="1" s="1"/>
  <c r="E28" i="1"/>
  <c r="F28" i="1" s="1"/>
  <c r="G28" i="1" s="1"/>
  <c r="H28" i="1" s="1"/>
  <c r="E29" i="1"/>
  <c r="F29" i="1" s="1"/>
  <c r="G29" i="1" s="1"/>
  <c r="H29" i="1" s="1"/>
  <c r="E30" i="1"/>
  <c r="F14" i="1"/>
  <c r="G14" i="1" s="1"/>
  <c r="H14" i="1" s="1"/>
  <c r="F15" i="1"/>
  <c r="G15" i="1" s="1"/>
  <c r="H15" i="1" s="1"/>
  <c r="F17" i="1"/>
  <c r="G17" i="1" s="1"/>
  <c r="H17" i="1" s="1"/>
  <c r="F18" i="1"/>
  <c r="G18" i="1" s="1"/>
  <c r="H18" i="1" s="1"/>
  <c r="F24" i="1"/>
  <c r="G24" i="1" s="1"/>
  <c r="H24" i="1" s="1"/>
  <c r="F25" i="1"/>
  <c r="G25" i="1" s="1"/>
  <c r="H25" i="1" s="1"/>
  <c r="F30" i="1"/>
  <c r="G30" i="1" s="1"/>
  <c r="H30" i="1" s="1"/>
  <c r="C12" i="5" l="1"/>
  <c r="D25" i="5" s="1"/>
  <c r="C11" i="5"/>
  <c r="B15" i="4" l="1"/>
  <c r="D14" i="4"/>
  <c r="G14" i="4" s="1"/>
  <c r="H14" i="4" s="1"/>
  <c r="D13" i="4"/>
  <c r="G13" i="4" s="1"/>
  <c r="H13" i="4" s="1"/>
  <c r="D12" i="4"/>
  <c r="G12" i="4" s="1"/>
  <c r="I13" i="3"/>
  <c r="K13" i="3" s="1"/>
  <c r="E12" i="3"/>
  <c r="F12" i="3" s="1"/>
  <c r="D12" i="3"/>
  <c r="E11" i="3"/>
  <c r="D11" i="3"/>
  <c r="E10" i="3"/>
  <c r="F10" i="3" s="1"/>
  <c r="D10" i="3"/>
  <c r="E9" i="3"/>
  <c r="F9" i="3" s="1"/>
  <c r="D9" i="3"/>
  <c r="I12" i="3" l="1"/>
  <c r="K12" i="3" s="1"/>
  <c r="I10" i="3"/>
  <c r="K10" i="3" s="1"/>
  <c r="I9" i="3"/>
  <c r="K9" i="3" s="1"/>
  <c r="H12" i="4"/>
  <c r="J12" i="4"/>
  <c r="G15" i="4"/>
  <c r="H11" i="4"/>
  <c r="H15" i="4" s="1"/>
  <c r="J15" i="4"/>
  <c r="F11" i="3"/>
  <c r="I11" i="3" s="1"/>
  <c r="K11" i="3" s="1"/>
  <c r="K14" i="3" l="1"/>
  <c r="C9" i="5" s="1"/>
  <c r="E31" i="1" l="1"/>
  <c r="B37" i="1" s="1"/>
  <c r="H8" i="1"/>
  <c r="H31" i="1" s="1"/>
  <c r="B38" i="1" s="1"/>
  <c r="C8" i="5"/>
  <c r="B39" i="1" l="1"/>
  <c r="B25" i="5" s="1"/>
  <c r="B7" i="5"/>
  <c r="B13" i="5" s="1"/>
  <c r="B14" i="5" s="1"/>
  <c r="C13" i="5" l="1"/>
  <c r="C14" i="5" s="1"/>
  <c r="C15" i="5" s="1"/>
  <c r="C17" i="5" s="1"/>
  <c r="E25" i="5"/>
  <c r="F25" i="5" s="1"/>
  <c r="G25" i="5" s="1"/>
  <c r="I25" i="5" s="1"/>
  <c r="B15" i="5" l="1"/>
  <c r="B17" i="5" s="1"/>
</calcChain>
</file>

<file path=xl/comments1.xml><?xml version="1.0" encoding="utf-8"?>
<comments xmlns="http://schemas.openxmlformats.org/spreadsheetml/2006/main">
  <authors>
    <author>Lucie Peterková</author>
  </authors>
  <commentList>
    <comment ref="B7" authorId="0" shapeId="0">
      <text>
        <r>
          <rPr>
            <b/>
            <sz val="9"/>
            <color indexed="81"/>
            <rFont val="Tahoma"/>
            <charset val="1"/>
          </rPr>
          <t>Lucie Peterková:</t>
        </r>
        <r>
          <rPr>
            <sz val="9"/>
            <color indexed="81"/>
            <rFont val="Tahoma"/>
            <charset val="1"/>
          </rPr>
          <t xml:space="preserve">
hrubá mzda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Lucie Peterková:</t>
        </r>
        <r>
          <rPr>
            <sz val="9"/>
            <color indexed="81"/>
            <rFont val="Tahoma"/>
            <charset val="1"/>
          </rPr>
          <t xml:space="preserve">
Počítáno s 5 % rezervou - lze upravit dle fakultních podmínek a aktuálního vývoje</t>
        </r>
      </text>
    </comment>
  </commentList>
</comments>
</file>

<file path=xl/comments2.xml><?xml version="1.0" encoding="utf-8"?>
<comments xmlns="http://schemas.openxmlformats.org/spreadsheetml/2006/main">
  <authors>
    <author>Lucie Peterková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Lucie Peterková:</t>
        </r>
        <r>
          <rPr>
            <sz val="9"/>
            <color indexed="81"/>
            <rFont val="Tahoma"/>
            <charset val="1"/>
          </rPr>
          <t xml:space="preserve">
Pro předběžnou kalkulaci počítáno se 45,- EUR/den. 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Lucie Peterková:</t>
        </r>
        <r>
          <rPr>
            <sz val="9"/>
            <color indexed="81"/>
            <rFont val="Tahoma"/>
            <charset val="1"/>
          </rPr>
          <t xml:space="preserve">
Počítáno se 40 % ze stravného. Je možné upravit dle interních pravidel fakulty.</t>
        </r>
      </text>
    </comment>
  </commentList>
</comments>
</file>

<file path=xl/sharedStrings.xml><?xml version="1.0" encoding="utf-8"?>
<sst xmlns="http://schemas.openxmlformats.org/spreadsheetml/2006/main" count="117" uniqueCount="99">
  <si>
    <t>Název projektu</t>
  </si>
  <si>
    <t>Doba realizace projektu</t>
  </si>
  <si>
    <t>mm/yyyy - mm/yyyy</t>
  </si>
  <si>
    <t xml:space="preserve">                           </t>
  </si>
  <si>
    <t>CELKEM</t>
  </si>
  <si>
    <t>Počet měsíců realizace projektu</t>
  </si>
  <si>
    <t>Hrubá mzda</t>
  </si>
  <si>
    <t>Superhrubá mzda</t>
  </si>
  <si>
    <t>Počet měsíců zapojení do projektu</t>
  </si>
  <si>
    <t>Počet člověko-měsíců</t>
  </si>
  <si>
    <t>Výpočet osobních nákladů (příprava projektu)</t>
  </si>
  <si>
    <t>směnný kurz:</t>
  </si>
  <si>
    <t>CZK/EUR</t>
  </si>
  <si>
    <t>Pro vyplnění do projektové žádosti:</t>
  </si>
  <si>
    <t xml:space="preserve">Počet člověko-měsíců </t>
  </si>
  <si>
    <t>Superhrubá mzda - rezerva na nárůst mzdy, náhrady za dovolenou,…</t>
  </si>
  <si>
    <t>Výpočet cestovních náhrad (příprava projektu)</t>
  </si>
  <si>
    <t>Typ akce</t>
  </si>
  <si>
    <t>Délka služební cesty
(dny)</t>
  </si>
  <si>
    <t>Letenka</t>
  </si>
  <si>
    <t>Ubytování</t>
  </si>
  <si>
    <t>Stravné</t>
  </si>
  <si>
    <t>Kapesné</t>
  </si>
  <si>
    <t>Místní cestovné</t>
  </si>
  <si>
    <t>Registrační poplatek</t>
  </si>
  <si>
    <t>Celkové náklady za cestu</t>
  </si>
  <si>
    <t>Počet cest za dobu realizace projektu</t>
  </si>
  <si>
    <t>Celkové náklady za typ akce</t>
  </si>
  <si>
    <t>Konference/workshop v EU</t>
  </si>
  <si>
    <t>Konference/workshop mimo EU</t>
  </si>
  <si>
    <t>Krátkodobá stáž/pobyt v laboratoři</t>
  </si>
  <si>
    <t>Projektový meeting</t>
  </si>
  <si>
    <t>políčka k vyplnění</t>
  </si>
  <si>
    <t>Výpočet odpisů investičního zařízení (příprava projektu)</t>
  </si>
  <si>
    <t>Název přístroje</t>
  </si>
  <si>
    <t>Cena vč. DPH
(Kč)</t>
  </si>
  <si>
    <t>Počet let odepisování</t>
  </si>
  <si>
    <t>Měsíční odpis (Kč)</t>
  </si>
  <si>
    <t>Doba využití v projektu 
(měs.)</t>
  </si>
  <si>
    <t>Míra využití v projektu (%)</t>
  </si>
  <si>
    <t>Uznatelný náklad v projektu (Kč)</t>
  </si>
  <si>
    <t>Uznatelný náklad v projektu (EUR)</t>
  </si>
  <si>
    <t>Equipment</t>
  </si>
  <si>
    <t>Purchase cost (incl. VAT, CZK)</t>
  </si>
  <si>
    <t>Depreciation period of equipment (year)</t>
  </si>
  <si>
    <t>Monthly depreciation costs</t>
  </si>
  <si>
    <t xml:space="preserve">Utilisation of equipment in project
(month) </t>
  </si>
  <si>
    <t>Allocation 
(%)</t>
  </si>
  <si>
    <t>Eligible cost 
(CZK)</t>
  </si>
  <si>
    <t>Eligible cost
(EUR)</t>
  </si>
  <si>
    <t>Celkem</t>
  </si>
  <si>
    <t>Rozpočet projektu (příprava projektu)</t>
  </si>
  <si>
    <t>Rozpočtová kategorie</t>
  </si>
  <si>
    <t>Náklad 
(CZK)</t>
  </si>
  <si>
    <t>Náklad 
(EUR)</t>
  </si>
  <si>
    <t>Zdůvodnění nákladu</t>
  </si>
  <si>
    <t>Osobní náklady</t>
  </si>
  <si>
    <t>Subdodávky</t>
  </si>
  <si>
    <t>Celkové přímé náklady</t>
  </si>
  <si>
    <t>Nepřímé náklady</t>
  </si>
  <si>
    <t>Celkové přímé a nepřímé náklady</t>
  </si>
  <si>
    <t>25 % z přímých nákladů bez subdodávek</t>
  </si>
  <si>
    <t>Requested grant</t>
  </si>
  <si>
    <t>Total direct costs</t>
  </si>
  <si>
    <t xml:space="preserve">Indirect costs </t>
  </si>
  <si>
    <t xml:space="preserve">Total estimated eligable costs </t>
  </si>
  <si>
    <t>Sazba financování</t>
  </si>
  <si>
    <t>Požadované finanční prostředky</t>
  </si>
  <si>
    <t>Úvazek
(%)</t>
  </si>
  <si>
    <t>Celkové osobní náklady (CZK)</t>
  </si>
  <si>
    <t>Celkové osobní náklady (EUR)</t>
  </si>
  <si>
    <t>uveďte druhy plánovaných cest (projektové meetingy, konference, workshopy, stáže,…)</t>
  </si>
  <si>
    <t>uveďte výčet pořizovaných služeb a zdůvodnění jejich potřebnosti pro projekt</t>
  </si>
  <si>
    <t>uveďte typ pořizovaného zařízení, zdůvodnění potřebnosti zařízení a jeho využití v rámci projektu a dále informaci o uplatňování odpisů</t>
  </si>
  <si>
    <t>pro VŠ vždy platí 100 % financování z H2020</t>
  </si>
  <si>
    <t>Odpisy</t>
  </si>
  <si>
    <t xml:space="preserve">Direct personnel costs </t>
  </si>
  <si>
    <t xml:space="preserve">Other direct costs </t>
  </si>
  <si>
    <t>Direct costs of subcontracting</t>
  </si>
  <si>
    <t xml:space="preserve">Reimbursment rate </t>
  </si>
  <si>
    <t>Rozpočet - projektová žádost</t>
  </si>
  <si>
    <t>Instituce</t>
  </si>
  <si>
    <t>profesor</t>
  </si>
  <si>
    <t>docent</t>
  </si>
  <si>
    <t>odborný asistent</t>
  </si>
  <si>
    <t>asistent</t>
  </si>
  <si>
    <t>lektor</t>
  </si>
  <si>
    <t>pedagogický pracovník ve VaV</t>
  </si>
  <si>
    <t>,</t>
  </si>
  <si>
    <t>Ostatní zboží a služby (ochrana duševního vlastnictví, šíření výsledků projektu, překlady, open acces, audit,…)</t>
  </si>
  <si>
    <t>Ostatní přímé náklady</t>
  </si>
  <si>
    <t>Cestovné</t>
  </si>
  <si>
    <t>uveďte výčet pořizovaných služeb  a zboží (typové náklady)</t>
  </si>
  <si>
    <t>Spolufinancování ČZU (Kč)</t>
  </si>
  <si>
    <t>ČZU contribution  (CZK)</t>
  </si>
  <si>
    <t>Průměrná měsíční mzda na ČZU</t>
  </si>
  <si>
    <t>Kategorie pracovníka</t>
  </si>
  <si>
    <t>ČZU</t>
  </si>
  <si>
    <t>uveďte počet člověko-měsíců potřebných pro realizaci projektu vynásobený příslušnou hrubou mzdou pracovníka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</si>
</sst>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\ &quot;Kč&quot;"/>
    <numFmt numFmtId="165" formatCode="#,##0.0"/>
    <numFmt numFmtId="166" formatCode="_-* #,##0.00\ [$€-1]_-;\-* #,##0.00\ [$€-1]_-;_-* &quot;-&quot;??\ [$€-1]_-;_-@_-"/>
    <numFmt numFmtId="167" formatCode="_-* #,##0\ [$CZK]_-;\-* #,##0\ [$CZK]_-;_-* &quot;-&quot;\ [$CZK]_-;_-@_-"/>
    <numFmt numFmtId="168" formatCode="_-* #,##0\ [$EUR]_-;\-* #,##0\ [$EUR]_-;_-* &quot;-&quot;\ [$EUR]_-;_-@_-"/>
    <numFmt numFmtId="169" formatCode="_-* #,##0\ [$CZK]_-;\-* #,##0\ [$CZK]_-;_-* &quot;-&quot;??\ [$CZK]_-;_-@_-"/>
    <numFmt numFmtId="170" formatCode="_-* #,##0.00\ [$Kč-405]_-;\-* #,##0.00\ [$Kč-405]_-;_-* &quot;-&quot;??\ [$Kč-405]_-;_-@_-"/>
  </numFmts>
  <fonts count="1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8" fillId="3" borderId="1" xfId="0" applyFont="1" applyFill="1" applyBorder="1"/>
    <xf numFmtId="0" fontId="8" fillId="4" borderId="1" xfId="0" applyFont="1" applyFill="1" applyBorder="1"/>
    <xf numFmtId="165" fontId="0" fillId="0" borderId="1" xfId="0" applyNumberFormat="1" applyBorder="1"/>
    <xf numFmtId="164" fontId="0" fillId="0" borderId="1" xfId="0" applyNumberFormat="1" applyBorder="1"/>
    <xf numFmtId="165" fontId="8" fillId="0" borderId="1" xfId="0" applyNumberFormat="1" applyFont="1" applyBorder="1"/>
    <xf numFmtId="164" fontId="8" fillId="0" borderId="1" xfId="0" applyNumberFormat="1" applyFont="1" applyBorder="1"/>
    <xf numFmtId="3" fontId="0" fillId="0" borderId="0" xfId="0" applyNumberFormat="1"/>
    <xf numFmtId="0" fontId="9" fillId="0" borderId="0" xfId="2" applyFont="1"/>
    <xf numFmtId="166" fontId="0" fillId="0" borderId="1" xfId="0" applyNumberFormat="1" applyBorder="1"/>
    <xf numFmtId="0" fontId="0" fillId="3" borderId="1" xfId="0" applyFill="1" applyBorder="1"/>
    <xf numFmtId="3" fontId="0" fillId="3" borderId="1" xfId="0" applyNumberFormat="1" applyFill="1" applyBorder="1"/>
    <xf numFmtId="9" fontId="0" fillId="3" borderId="1" xfId="1" applyFont="1" applyFill="1" applyBorder="1"/>
    <xf numFmtId="3" fontId="8" fillId="3" borderId="1" xfId="0" applyNumberFormat="1" applyFont="1" applyFill="1" applyBorder="1"/>
    <xf numFmtId="9" fontId="8" fillId="3" borderId="1" xfId="1" applyFont="1" applyFill="1" applyBorder="1"/>
    <xf numFmtId="0" fontId="9" fillId="3" borderId="0" xfId="2" applyFont="1" applyFill="1"/>
    <xf numFmtId="0" fontId="0" fillId="4" borderId="1" xfId="0" applyFont="1" applyFill="1" applyBorder="1" applyAlignment="1">
      <alignment horizontal="center" vertical="center" wrapText="1"/>
    </xf>
    <xf numFmtId="0" fontId="4" fillId="0" borderId="0" xfId="3" applyFont="1"/>
    <xf numFmtId="0" fontId="11" fillId="0" borderId="0" xfId="3" applyFont="1"/>
    <xf numFmtId="0" fontId="8" fillId="4" borderId="1" xfId="3" applyFont="1" applyFill="1" applyBorder="1"/>
    <xf numFmtId="0" fontId="5" fillId="0" borderId="0" xfId="3" applyFont="1"/>
    <xf numFmtId="0" fontId="11" fillId="0" borderId="0" xfId="3" applyFont="1" applyAlignment="1">
      <alignment horizontal="center"/>
    </xf>
    <xf numFmtId="0" fontId="12" fillId="0" borderId="0" xfId="3" applyFont="1"/>
    <xf numFmtId="0" fontId="11" fillId="4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left"/>
    </xf>
    <xf numFmtId="0" fontId="11" fillId="3" borderId="1" xfId="3" applyFont="1" applyFill="1" applyBorder="1" applyAlignment="1">
      <alignment horizontal="center"/>
    </xf>
    <xf numFmtId="166" fontId="11" fillId="3" borderId="1" xfId="3" applyNumberFormat="1" applyFont="1" applyFill="1" applyBorder="1"/>
    <xf numFmtId="166" fontId="11" fillId="0" borderId="1" xfId="3" applyNumberFormat="1" applyFont="1" applyBorder="1"/>
    <xf numFmtId="0" fontId="11" fillId="0" borderId="1" xfId="3" applyFont="1" applyFill="1" applyBorder="1"/>
    <xf numFmtId="0" fontId="11" fillId="3" borderId="1" xfId="3" applyFont="1" applyFill="1" applyBorder="1"/>
    <xf numFmtId="166" fontId="12" fillId="0" borderId="1" xfId="3" applyNumberFormat="1" applyFont="1" applyBorder="1"/>
    <xf numFmtId="0" fontId="11" fillId="0" borderId="0" xfId="3" applyFont="1" applyBorder="1"/>
    <xf numFmtId="0" fontId="11" fillId="3" borderId="0" xfId="3" applyFont="1" applyFill="1"/>
    <xf numFmtId="0" fontId="13" fillId="0" borderId="0" xfId="3" applyFont="1" applyAlignment="1">
      <alignment horizontal="left"/>
    </xf>
    <xf numFmtId="0" fontId="13" fillId="0" borderId="0" xfId="3" applyFont="1"/>
    <xf numFmtId="0" fontId="11" fillId="0" borderId="0" xfId="4" applyFont="1"/>
    <xf numFmtId="0" fontId="0" fillId="0" borderId="0" xfId="0" applyFont="1"/>
    <xf numFmtId="0" fontId="0" fillId="0" borderId="0" xfId="0" applyFont="1" applyAlignment="1">
      <alignment horizontal="center"/>
    </xf>
    <xf numFmtId="0" fontId="12" fillId="4" borderId="1" xfId="4" applyFont="1" applyFill="1" applyBorder="1" applyAlignment="1">
      <alignment horizontal="center" vertical="center" wrapText="1"/>
    </xf>
    <xf numFmtId="0" fontId="11" fillId="0" borderId="0" xfId="4" applyFont="1" applyFill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167" fontId="11" fillId="0" borderId="1" xfId="4" applyNumberFormat="1" applyFont="1" applyBorder="1"/>
    <xf numFmtId="168" fontId="12" fillId="0" borderId="1" xfId="4" applyNumberFormat="1" applyFont="1" applyFill="1" applyBorder="1"/>
    <xf numFmtId="0" fontId="12" fillId="0" borderId="1" xfId="4" applyFont="1" applyFill="1" applyBorder="1"/>
    <xf numFmtId="167" fontId="12" fillId="0" borderId="1" xfId="4" applyNumberFormat="1" applyFont="1" applyFill="1" applyBorder="1"/>
    <xf numFmtId="169" fontId="12" fillId="0" borderId="2" xfId="4" applyNumberFormat="1" applyFont="1" applyFill="1" applyBorder="1"/>
    <xf numFmtId="168" fontId="12" fillId="0" borderId="5" xfId="4" applyNumberFormat="1" applyFont="1" applyFill="1" applyBorder="1"/>
    <xf numFmtId="0" fontId="11" fillId="0" borderId="0" xfId="4" applyFont="1" applyFill="1"/>
    <xf numFmtId="169" fontId="12" fillId="0" borderId="1" xfId="4" applyNumberFormat="1" applyFont="1" applyFill="1" applyBorder="1"/>
    <xf numFmtId="0" fontId="13" fillId="0" borderId="0" xfId="4" applyFont="1"/>
    <xf numFmtId="0" fontId="12" fillId="0" borderId="0" xfId="4" applyFo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70" fontId="0" fillId="0" borderId="1" xfId="0" applyNumberFormat="1" applyBorder="1"/>
    <xf numFmtId="170" fontId="0" fillId="0" borderId="0" xfId="0" applyNumberFormat="1"/>
    <xf numFmtId="170" fontId="0" fillId="0" borderId="1" xfId="0" applyNumberFormat="1" applyBorder="1" applyAlignment="1">
      <alignment vertical="center"/>
    </xf>
    <xf numFmtId="170" fontId="8" fillId="0" borderId="1" xfId="0" applyNumberFormat="1" applyFont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6" fontId="8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70" fontId="0" fillId="3" borderId="1" xfId="0" applyNumberForma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0" fontId="11" fillId="3" borderId="1" xfId="4" applyFont="1" applyFill="1" applyBorder="1"/>
    <xf numFmtId="167" fontId="11" fillId="3" borderId="1" xfId="4" applyNumberFormat="1" applyFont="1" applyFill="1" applyBorder="1"/>
    <xf numFmtId="0" fontId="11" fillId="3" borderId="1" xfId="4" applyFont="1" applyFill="1" applyBorder="1" applyAlignment="1">
      <alignment horizontal="center"/>
    </xf>
    <xf numFmtId="0" fontId="11" fillId="3" borderId="1" xfId="4" applyNumberFormat="1" applyFont="1" applyFill="1" applyBorder="1" applyAlignment="1">
      <alignment horizontal="center"/>
    </xf>
    <xf numFmtId="9" fontId="10" fillId="3" borderId="1" xfId="5" applyFont="1" applyFill="1" applyBorder="1" applyAlignment="1">
      <alignment horizontal="center"/>
    </xf>
    <xf numFmtId="0" fontId="13" fillId="3" borderId="0" xfId="4" applyFont="1" applyFill="1"/>
    <xf numFmtId="0" fontId="11" fillId="3" borderId="0" xfId="4" applyFont="1" applyFill="1"/>
    <xf numFmtId="166" fontId="0" fillId="0" borderId="1" xfId="0" applyNumberFormat="1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5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9" fontId="0" fillId="0" borderId="1" xfId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left" vertical="center"/>
    </xf>
    <xf numFmtId="0" fontId="12" fillId="0" borderId="2" xfId="3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left" vertical="center"/>
    </xf>
    <xf numFmtId="1" fontId="5" fillId="0" borderId="3" xfId="0" applyNumberFormat="1" applyFont="1" applyFill="1" applyBorder="1" applyAlignment="1">
      <alignment horizontal="left" vertical="center"/>
    </xf>
    <xf numFmtId="1" fontId="5" fillId="0" borderId="4" xfId="0" applyNumberFormat="1" applyFont="1" applyFill="1" applyBorder="1" applyAlignment="1">
      <alignment horizontal="left" vertical="center"/>
    </xf>
  </cellXfs>
  <cellStyles count="6">
    <cellStyle name="Normální" xfId="0" builtinId="0"/>
    <cellStyle name="Normální 2" xfId="3"/>
    <cellStyle name="Normální 5" xfId="2"/>
    <cellStyle name="Normální 5 2" xfId="4"/>
    <cellStyle name="Procenta" xfId="1" builtinId="5"/>
    <cellStyle name="Procent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Normal="100" workbookViewId="0">
      <selection activeCell="C33" sqref="C33"/>
    </sheetView>
  </sheetViews>
  <sheetFormatPr defaultRowHeight="12.75" x14ac:dyDescent="0.2"/>
  <cols>
    <col min="1" max="1" width="39.7109375" style="61" customWidth="1"/>
    <col min="2" max="9" width="17.5703125" style="61" customWidth="1"/>
    <col min="10" max="10" width="16.140625" style="61" customWidth="1"/>
    <col min="11" max="11" width="13.28515625" style="61" bestFit="1" customWidth="1"/>
    <col min="12" max="16384" width="9.140625" style="61"/>
  </cols>
  <sheetData>
    <row r="1" spans="1:16" ht="18" x14ac:dyDescent="0.2">
      <c r="A1" s="62" t="s">
        <v>51</v>
      </c>
    </row>
    <row r="2" spans="1:16" x14ac:dyDescent="0.2">
      <c r="A2" s="63"/>
      <c r="B2" s="63"/>
      <c r="C2" s="63"/>
      <c r="E2" s="64"/>
      <c r="F2" s="64"/>
      <c r="G2" s="64"/>
      <c r="H2" s="64"/>
      <c r="I2" s="64"/>
      <c r="J2" s="64"/>
      <c r="O2" s="65"/>
    </row>
    <row r="3" spans="1:16" x14ac:dyDescent="0.2">
      <c r="A3" s="66" t="s">
        <v>0</v>
      </c>
      <c r="B3" s="94"/>
      <c r="C3" s="94"/>
      <c r="D3" s="94"/>
      <c r="E3" s="64"/>
      <c r="F3" s="64"/>
      <c r="G3" s="64"/>
      <c r="H3" s="64"/>
      <c r="I3" s="64"/>
      <c r="J3" s="64"/>
      <c r="O3" s="65"/>
    </row>
    <row r="4" spans="1:16" x14ac:dyDescent="0.2">
      <c r="A4" s="66" t="s">
        <v>1</v>
      </c>
      <c r="B4" s="94" t="s">
        <v>2</v>
      </c>
      <c r="C4" s="94"/>
      <c r="D4" s="94"/>
      <c r="E4" s="64"/>
      <c r="F4" s="64"/>
      <c r="G4" s="64"/>
      <c r="H4" s="64"/>
      <c r="I4" s="64"/>
      <c r="J4" s="64"/>
      <c r="O4" s="65"/>
    </row>
    <row r="5" spans="1:16" x14ac:dyDescent="0.2">
      <c r="B5" s="61" t="s">
        <v>3</v>
      </c>
      <c r="O5" s="65"/>
    </row>
    <row r="6" spans="1:16" s="8" customFormat="1" ht="25.5" x14ac:dyDescent="0.2">
      <c r="A6" s="80" t="s">
        <v>52</v>
      </c>
      <c r="B6" s="67" t="s">
        <v>53</v>
      </c>
      <c r="C6" s="67" t="s">
        <v>54</v>
      </c>
      <c r="D6" s="96" t="s">
        <v>55</v>
      </c>
      <c r="E6" s="96"/>
      <c r="F6" s="96"/>
      <c r="G6" s="96"/>
      <c r="H6" s="96"/>
      <c r="I6" s="96"/>
      <c r="J6" s="61"/>
      <c r="K6" s="61"/>
      <c r="M6" s="61"/>
      <c r="P6" s="61"/>
    </row>
    <row r="7" spans="1:16" ht="12.75" customHeight="1" x14ac:dyDescent="0.2">
      <c r="A7" s="60" t="s">
        <v>56</v>
      </c>
      <c r="B7" s="74">
        <f>'Osobní náklady'!B38</f>
        <v>2087400</v>
      </c>
      <c r="C7" s="76">
        <f>'Osobní náklady'!B39</f>
        <v>81860</v>
      </c>
      <c r="D7" s="93" t="s">
        <v>98</v>
      </c>
      <c r="E7" s="93"/>
      <c r="F7" s="93"/>
      <c r="G7" s="93"/>
      <c r="H7" s="93"/>
      <c r="I7" s="93"/>
    </row>
    <row r="8" spans="1:16" x14ac:dyDescent="0.2">
      <c r="A8" s="60" t="s">
        <v>90</v>
      </c>
      <c r="B8" s="74">
        <f>SUM(B9:B11)</f>
        <v>535500</v>
      </c>
      <c r="C8" s="76">
        <f>SUM(C9:C11)</f>
        <v>21000</v>
      </c>
      <c r="D8" s="93"/>
      <c r="E8" s="93"/>
      <c r="F8" s="93"/>
      <c r="G8" s="93"/>
      <c r="H8" s="93"/>
      <c r="I8" s="93"/>
    </row>
    <row r="9" spans="1:16" x14ac:dyDescent="0.2">
      <c r="A9" s="68" t="s">
        <v>91</v>
      </c>
      <c r="B9" s="74">
        <f>C9*B20</f>
        <v>535500</v>
      </c>
      <c r="C9" s="76">
        <f>'Cestovní náhrady'!K14</f>
        <v>21000</v>
      </c>
      <c r="D9" s="93" t="s">
        <v>71</v>
      </c>
      <c r="E9" s="93"/>
      <c r="F9" s="93"/>
      <c r="G9" s="93"/>
      <c r="H9" s="93"/>
      <c r="I9" s="93"/>
    </row>
    <row r="10" spans="1:16" ht="28.5" customHeight="1" x14ac:dyDescent="0.2">
      <c r="A10" s="69" t="s">
        <v>75</v>
      </c>
      <c r="B10" s="78" t="str">
        <f>IF(C10=0,"",C10/Odpisy!G15)</f>
        <v/>
      </c>
      <c r="C10" s="76">
        <f>Odpisy!H15</f>
        <v>0</v>
      </c>
      <c r="D10" s="93" t="s">
        <v>73</v>
      </c>
      <c r="E10" s="93"/>
      <c r="F10" s="93"/>
      <c r="G10" s="93"/>
      <c r="H10" s="93"/>
      <c r="I10" s="93"/>
    </row>
    <row r="11" spans="1:16" ht="38.25" x14ac:dyDescent="0.2">
      <c r="A11" s="69" t="s">
        <v>89</v>
      </c>
      <c r="B11" s="79"/>
      <c r="C11" s="91">
        <f>CEILING(B11/$B$20,100)</f>
        <v>0</v>
      </c>
      <c r="D11" s="93" t="s">
        <v>92</v>
      </c>
      <c r="E11" s="93"/>
      <c r="F11" s="93"/>
      <c r="G11" s="93"/>
      <c r="H11" s="93"/>
      <c r="I11" s="93"/>
    </row>
    <row r="12" spans="1:16" x14ac:dyDescent="0.2">
      <c r="A12" s="60" t="s">
        <v>57</v>
      </c>
      <c r="B12" s="79"/>
      <c r="C12" s="91">
        <f>CEILING(B12/$B$20,100)</f>
        <v>0</v>
      </c>
      <c r="D12" s="93" t="s">
        <v>72</v>
      </c>
      <c r="E12" s="93"/>
      <c r="F12" s="93"/>
      <c r="G12" s="93"/>
      <c r="H12" s="93"/>
      <c r="I12" s="93"/>
    </row>
    <row r="13" spans="1:16" x14ac:dyDescent="0.2">
      <c r="A13" s="70" t="s">
        <v>58</v>
      </c>
      <c r="B13" s="75">
        <f>B7+B8+B12</f>
        <v>2622900</v>
      </c>
      <c r="C13" s="77">
        <f>C7+C8+C12</f>
        <v>102860</v>
      </c>
      <c r="D13" s="93"/>
      <c r="E13" s="93"/>
      <c r="F13" s="93"/>
      <c r="G13" s="93"/>
      <c r="H13" s="93"/>
      <c r="I13" s="93"/>
    </row>
    <row r="14" spans="1:16" x14ac:dyDescent="0.2">
      <c r="A14" s="70" t="s">
        <v>59</v>
      </c>
      <c r="B14" s="75">
        <f>(B13-B12)*0.25</f>
        <v>655725</v>
      </c>
      <c r="C14" s="77">
        <f>(C13-C12)*0.25</f>
        <v>25715</v>
      </c>
      <c r="D14" s="93" t="s">
        <v>61</v>
      </c>
      <c r="E14" s="93"/>
      <c r="F14" s="93"/>
      <c r="G14" s="93"/>
      <c r="H14" s="93"/>
      <c r="I14" s="93"/>
    </row>
    <row r="15" spans="1:16" x14ac:dyDescent="0.2">
      <c r="A15" s="71" t="s">
        <v>60</v>
      </c>
      <c r="B15" s="75">
        <f>B13+B14</f>
        <v>3278625</v>
      </c>
      <c r="C15" s="77">
        <f>C14+C13</f>
        <v>128575</v>
      </c>
      <c r="D15" s="93"/>
      <c r="E15" s="93"/>
      <c r="F15" s="93"/>
      <c r="G15" s="93"/>
      <c r="H15" s="93"/>
      <c r="I15" s="93"/>
    </row>
    <row r="16" spans="1:16" x14ac:dyDescent="0.2">
      <c r="A16" s="60" t="s">
        <v>66</v>
      </c>
      <c r="B16" s="95">
        <v>1</v>
      </c>
      <c r="C16" s="95"/>
      <c r="D16" s="93" t="s">
        <v>74</v>
      </c>
      <c r="E16" s="93"/>
      <c r="F16" s="93"/>
      <c r="G16" s="93"/>
      <c r="H16" s="93"/>
      <c r="I16" s="93"/>
    </row>
    <row r="17" spans="1:9" x14ac:dyDescent="0.2">
      <c r="A17" s="70" t="s">
        <v>67</v>
      </c>
      <c r="B17" s="75">
        <f>B16*B15</f>
        <v>3278625</v>
      </c>
      <c r="C17" s="77">
        <f>B16*C15</f>
        <v>128575</v>
      </c>
      <c r="D17" s="93"/>
      <c r="E17" s="93"/>
      <c r="F17" s="93"/>
      <c r="G17" s="93"/>
      <c r="H17" s="93"/>
      <c r="I17" s="93"/>
    </row>
    <row r="20" spans="1:9" ht="15" x14ac:dyDescent="0.25">
      <c r="A20" s="17" t="s">
        <v>11</v>
      </c>
      <c r="B20" s="24">
        <v>25.5</v>
      </c>
      <c r="C20" s="17" t="s">
        <v>12</v>
      </c>
    </row>
    <row r="21" spans="1:9" x14ac:dyDescent="0.2">
      <c r="B21" s="61" t="s">
        <v>88</v>
      </c>
    </row>
    <row r="23" spans="1:9" x14ac:dyDescent="0.2">
      <c r="A23" s="63" t="s">
        <v>80</v>
      </c>
    </row>
    <row r="24" spans="1:9" s="82" customFormat="1" ht="25.5" x14ac:dyDescent="0.2">
      <c r="A24" s="81" t="s">
        <v>81</v>
      </c>
      <c r="B24" s="81" t="s">
        <v>76</v>
      </c>
      <c r="C24" s="81" t="s">
        <v>77</v>
      </c>
      <c r="D24" s="81" t="s">
        <v>78</v>
      </c>
      <c r="E24" s="81" t="s">
        <v>63</v>
      </c>
      <c r="F24" s="81" t="s">
        <v>64</v>
      </c>
      <c r="G24" s="81" t="s">
        <v>65</v>
      </c>
      <c r="H24" s="81" t="s">
        <v>79</v>
      </c>
      <c r="I24" s="81" t="s">
        <v>62</v>
      </c>
    </row>
    <row r="25" spans="1:9" x14ac:dyDescent="0.2">
      <c r="A25" s="60" t="s">
        <v>97</v>
      </c>
      <c r="B25" s="76">
        <f>C7</f>
        <v>81860</v>
      </c>
      <c r="C25" s="76">
        <f>C8</f>
        <v>21000</v>
      </c>
      <c r="D25" s="76">
        <f>C12</f>
        <v>0</v>
      </c>
      <c r="E25" s="76">
        <f>SUM(B25:D25)</f>
        <v>102860</v>
      </c>
      <c r="F25" s="76">
        <f>(E25-D25)*0.25</f>
        <v>25715</v>
      </c>
      <c r="G25" s="76">
        <f>E25+F25</f>
        <v>128575</v>
      </c>
      <c r="H25" s="83">
        <v>1</v>
      </c>
      <c r="I25" s="76">
        <f>H25*G25</f>
        <v>128575</v>
      </c>
    </row>
  </sheetData>
  <mergeCells count="15">
    <mergeCell ref="B3:D3"/>
    <mergeCell ref="B4:D4"/>
    <mergeCell ref="B16:C16"/>
    <mergeCell ref="D6:I6"/>
    <mergeCell ref="D7:I7"/>
    <mergeCell ref="D9:I9"/>
    <mergeCell ref="D8:I8"/>
    <mergeCell ref="D16:I16"/>
    <mergeCell ref="D17:I17"/>
    <mergeCell ref="D10:I10"/>
    <mergeCell ref="D11:I11"/>
    <mergeCell ref="D12:I12"/>
    <mergeCell ref="D13:I13"/>
    <mergeCell ref="D14:I14"/>
    <mergeCell ref="D15:I1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zoomScaleNormal="100" workbookViewId="0">
      <selection activeCell="I42" sqref="I42"/>
    </sheetView>
  </sheetViews>
  <sheetFormatPr defaultRowHeight="12.75" x14ac:dyDescent="0.2"/>
  <cols>
    <col min="1" max="1" width="30.7109375" customWidth="1"/>
    <col min="2" max="12" width="15.7109375" customWidth="1"/>
    <col min="13" max="13" width="19.85546875" customWidth="1"/>
    <col min="14" max="14" width="13.85546875" customWidth="1"/>
    <col min="15" max="16" width="18.7109375" customWidth="1"/>
    <col min="17" max="17" width="14.7109375" customWidth="1"/>
    <col min="18" max="18" width="11.7109375" customWidth="1"/>
    <col min="19" max="19" width="18.28515625" bestFit="1" customWidth="1"/>
    <col min="20" max="20" width="17.28515625" style="6" customWidth="1"/>
    <col min="21" max="21" width="8.140625" customWidth="1"/>
    <col min="22" max="22" width="12" bestFit="1" customWidth="1"/>
  </cols>
  <sheetData>
    <row r="1" spans="1:20" ht="18" x14ac:dyDescent="0.25">
      <c r="A1" s="1" t="s">
        <v>10</v>
      </c>
      <c r="E1" s="2"/>
      <c r="F1" s="2"/>
      <c r="G1" s="2"/>
      <c r="H1" s="2"/>
      <c r="I1" s="3"/>
      <c r="J1" s="2"/>
      <c r="K1" s="2"/>
      <c r="L1" s="2"/>
      <c r="M1" s="2"/>
      <c r="N1" s="2"/>
      <c r="O1" s="2"/>
      <c r="R1" s="4"/>
      <c r="S1" s="5"/>
    </row>
    <row r="2" spans="1:20" x14ac:dyDescent="0.2">
      <c r="A2" s="7"/>
      <c r="B2" s="7"/>
      <c r="C2" s="7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0" x14ac:dyDescent="0.2">
      <c r="A3" s="11" t="s">
        <v>0</v>
      </c>
      <c r="B3" s="94"/>
      <c r="C3" s="94"/>
      <c r="D3" s="94"/>
      <c r="E3" s="94"/>
      <c r="F3" s="94"/>
      <c r="G3" s="94"/>
      <c r="H3" s="94"/>
      <c r="I3" s="94"/>
      <c r="J3" s="2"/>
      <c r="K3" s="2"/>
      <c r="L3" s="2"/>
      <c r="M3" s="2"/>
      <c r="N3" s="2"/>
      <c r="O3" s="2"/>
    </row>
    <row r="4" spans="1:20" x14ac:dyDescent="0.2">
      <c r="A4" s="11" t="s">
        <v>1</v>
      </c>
      <c r="B4" s="94" t="s">
        <v>2</v>
      </c>
      <c r="C4" s="94"/>
      <c r="D4" s="94"/>
      <c r="E4" s="94"/>
      <c r="F4" s="94"/>
      <c r="G4" s="94"/>
      <c r="H4" s="94"/>
      <c r="I4" s="94"/>
      <c r="J4" s="2"/>
      <c r="K4" s="2"/>
      <c r="L4" s="2"/>
      <c r="M4" s="2"/>
      <c r="N4" s="2"/>
      <c r="O4" s="2"/>
    </row>
    <row r="5" spans="1:20" x14ac:dyDescent="0.2">
      <c r="A5" s="11" t="s">
        <v>5</v>
      </c>
      <c r="B5" s="94"/>
      <c r="C5" s="94"/>
      <c r="D5" s="94"/>
      <c r="E5" s="94"/>
      <c r="F5" s="94"/>
      <c r="G5" s="94"/>
      <c r="H5" s="94"/>
      <c r="I5" s="94"/>
      <c r="J5" s="2"/>
      <c r="K5" s="2"/>
      <c r="L5" s="2"/>
      <c r="M5" s="2"/>
      <c r="N5" s="2"/>
      <c r="O5" s="2"/>
    </row>
    <row r="6" spans="1:20" x14ac:dyDescent="0.2">
      <c r="B6" t="s">
        <v>3</v>
      </c>
    </row>
    <row r="7" spans="1:20" s="8" customFormat="1" ht="63.75" x14ac:dyDescent="0.2">
      <c r="A7" s="25" t="s">
        <v>96</v>
      </c>
      <c r="B7" s="25" t="s">
        <v>95</v>
      </c>
      <c r="C7" s="25" t="s">
        <v>68</v>
      </c>
      <c r="D7" s="25" t="s">
        <v>8</v>
      </c>
      <c r="E7" s="25" t="s">
        <v>9</v>
      </c>
      <c r="F7" s="25" t="s">
        <v>6</v>
      </c>
      <c r="G7" s="25" t="s">
        <v>7</v>
      </c>
      <c r="H7" s="25" t="s">
        <v>15</v>
      </c>
    </row>
    <row r="8" spans="1:20" x14ac:dyDescent="0.2">
      <c r="A8" s="19" t="s">
        <v>82</v>
      </c>
      <c r="B8" s="20">
        <v>82000</v>
      </c>
      <c r="C8" s="21">
        <v>0.25</v>
      </c>
      <c r="D8" s="20">
        <v>12</v>
      </c>
      <c r="E8" s="12">
        <f>C8*D8</f>
        <v>3</v>
      </c>
      <c r="F8" s="13">
        <f>B8*E8</f>
        <v>246000</v>
      </c>
      <c r="G8" s="13">
        <f>F8*1.3542</f>
        <v>333133.2</v>
      </c>
      <c r="H8" s="13">
        <f>G8*1.05</f>
        <v>349789.86000000004</v>
      </c>
      <c r="Q8" s="6"/>
      <c r="T8"/>
    </row>
    <row r="9" spans="1:20" x14ac:dyDescent="0.2">
      <c r="A9" s="19" t="s">
        <v>83</v>
      </c>
      <c r="B9" s="20">
        <v>63000</v>
      </c>
      <c r="C9" s="21">
        <v>0.5</v>
      </c>
      <c r="D9" s="20">
        <v>12</v>
      </c>
      <c r="E9" s="12">
        <f t="shared" ref="E9:E30" si="0">C9*D9</f>
        <v>6</v>
      </c>
      <c r="F9" s="13">
        <f t="shared" ref="F9:F30" si="1">B9*E9</f>
        <v>378000</v>
      </c>
      <c r="G9" s="13">
        <f t="shared" ref="G9:G30" si="2">F9*1.3542</f>
        <v>511887.60000000003</v>
      </c>
      <c r="H9" s="13">
        <f t="shared" ref="H9:H30" si="3">G9*1.05</f>
        <v>537481.9800000001</v>
      </c>
      <c r="Q9" s="6"/>
      <c r="T9"/>
    </row>
    <row r="10" spans="1:20" x14ac:dyDescent="0.2">
      <c r="A10" s="19" t="s">
        <v>84</v>
      </c>
      <c r="B10" s="20">
        <v>43000</v>
      </c>
      <c r="C10" s="21">
        <v>1</v>
      </c>
      <c r="D10" s="20">
        <v>10</v>
      </c>
      <c r="E10" s="12">
        <f t="shared" si="0"/>
        <v>10</v>
      </c>
      <c r="F10" s="13">
        <f t="shared" si="1"/>
        <v>430000</v>
      </c>
      <c r="G10" s="13">
        <f t="shared" si="2"/>
        <v>582306</v>
      </c>
      <c r="H10" s="13">
        <f t="shared" si="3"/>
        <v>611421.30000000005</v>
      </c>
      <c r="Q10" s="6"/>
      <c r="T10"/>
    </row>
    <row r="11" spans="1:20" x14ac:dyDescent="0.2">
      <c r="A11" s="19" t="s">
        <v>85</v>
      </c>
      <c r="B11" s="20">
        <v>34000</v>
      </c>
      <c r="C11" s="21">
        <v>1</v>
      </c>
      <c r="D11" s="20">
        <v>10</v>
      </c>
      <c r="E11" s="12">
        <f t="shared" si="0"/>
        <v>10</v>
      </c>
      <c r="F11" s="13">
        <f t="shared" si="1"/>
        <v>340000</v>
      </c>
      <c r="G11" s="13">
        <f t="shared" si="2"/>
        <v>460428</v>
      </c>
      <c r="H11" s="13">
        <f t="shared" si="3"/>
        <v>483449.4</v>
      </c>
      <c r="Q11" s="6"/>
      <c r="T11"/>
    </row>
    <row r="12" spans="1:20" x14ac:dyDescent="0.2">
      <c r="A12" s="19" t="s">
        <v>86</v>
      </c>
      <c r="B12" s="20">
        <v>35000</v>
      </c>
      <c r="C12" s="21">
        <v>0.2</v>
      </c>
      <c r="D12" s="20">
        <v>4</v>
      </c>
      <c r="E12" s="12">
        <f t="shared" si="0"/>
        <v>0.8</v>
      </c>
      <c r="F12" s="13">
        <f t="shared" si="1"/>
        <v>28000</v>
      </c>
      <c r="G12" s="13">
        <f t="shared" si="2"/>
        <v>37917.599999999999</v>
      </c>
      <c r="H12" s="13">
        <f t="shared" si="3"/>
        <v>39813.480000000003</v>
      </c>
      <c r="Q12" s="6"/>
      <c r="T12"/>
    </row>
    <row r="13" spans="1:20" x14ac:dyDescent="0.2">
      <c r="A13" s="92" t="s">
        <v>87</v>
      </c>
      <c r="B13" s="20">
        <v>46000</v>
      </c>
      <c r="C13" s="21">
        <v>0.25</v>
      </c>
      <c r="D13" s="20">
        <v>4</v>
      </c>
      <c r="E13" s="12">
        <f t="shared" si="0"/>
        <v>1</v>
      </c>
      <c r="F13" s="13">
        <f t="shared" si="1"/>
        <v>46000</v>
      </c>
      <c r="G13" s="13">
        <f t="shared" si="2"/>
        <v>62293.200000000004</v>
      </c>
      <c r="H13" s="13">
        <f t="shared" si="3"/>
        <v>65407.860000000008</v>
      </c>
      <c r="Q13" s="6"/>
      <c r="T13"/>
    </row>
    <row r="14" spans="1:20" x14ac:dyDescent="0.2">
      <c r="A14" s="19"/>
      <c r="B14" s="20"/>
      <c r="C14" s="21"/>
      <c r="D14" s="20"/>
      <c r="E14" s="12">
        <f t="shared" si="0"/>
        <v>0</v>
      </c>
      <c r="F14" s="13">
        <f t="shared" si="1"/>
        <v>0</v>
      </c>
      <c r="G14" s="13">
        <f t="shared" si="2"/>
        <v>0</v>
      </c>
      <c r="H14" s="13">
        <f t="shared" si="3"/>
        <v>0</v>
      </c>
      <c r="Q14" s="6"/>
      <c r="T14"/>
    </row>
    <row r="15" spans="1:20" x14ac:dyDescent="0.2">
      <c r="A15" s="19"/>
      <c r="B15" s="20"/>
      <c r="C15" s="21"/>
      <c r="D15" s="20"/>
      <c r="E15" s="12">
        <f t="shared" si="0"/>
        <v>0</v>
      </c>
      <c r="F15" s="13">
        <f t="shared" si="1"/>
        <v>0</v>
      </c>
      <c r="G15" s="13">
        <f t="shared" si="2"/>
        <v>0</v>
      </c>
      <c r="H15" s="13">
        <f t="shared" si="3"/>
        <v>0</v>
      </c>
      <c r="Q15" s="6"/>
      <c r="T15"/>
    </row>
    <row r="16" spans="1:20" x14ac:dyDescent="0.2">
      <c r="A16" s="19"/>
      <c r="B16" s="20"/>
      <c r="C16" s="21"/>
      <c r="D16" s="20"/>
      <c r="E16" s="12">
        <f t="shared" si="0"/>
        <v>0</v>
      </c>
      <c r="F16" s="13">
        <f t="shared" si="1"/>
        <v>0</v>
      </c>
      <c r="G16" s="13">
        <f t="shared" si="2"/>
        <v>0</v>
      </c>
      <c r="H16" s="13">
        <f t="shared" si="3"/>
        <v>0</v>
      </c>
      <c r="Q16" s="6"/>
      <c r="T16"/>
    </row>
    <row r="17" spans="1:20" x14ac:dyDescent="0.2">
      <c r="A17" s="19"/>
      <c r="B17" s="20"/>
      <c r="C17" s="21"/>
      <c r="D17" s="20"/>
      <c r="E17" s="12">
        <f t="shared" si="0"/>
        <v>0</v>
      </c>
      <c r="F17" s="13">
        <f t="shared" si="1"/>
        <v>0</v>
      </c>
      <c r="G17" s="13">
        <f t="shared" si="2"/>
        <v>0</v>
      </c>
      <c r="H17" s="13">
        <f t="shared" si="3"/>
        <v>0</v>
      </c>
      <c r="Q17" s="6"/>
      <c r="T17"/>
    </row>
    <row r="18" spans="1:20" x14ac:dyDescent="0.2">
      <c r="A18" s="19"/>
      <c r="B18" s="20"/>
      <c r="C18" s="21"/>
      <c r="D18" s="20"/>
      <c r="E18" s="12">
        <f t="shared" si="0"/>
        <v>0</v>
      </c>
      <c r="F18" s="13">
        <f t="shared" si="1"/>
        <v>0</v>
      </c>
      <c r="G18" s="13">
        <f t="shared" si="2"/>
        <v>0</v>
      </c>
      <c r="H18" s="13">
        <f t="shared" si="3"/>
        <v>0</v>
      </c>
      <c r="Q18" s="6"/>
      <c r="T18"/>
    </row>
    <row r="19" spans="1:20" x14ac:dyDescent="0.2">
      <c r="A19" s="19"/>
      <c r="B19" s="20"/>
      <c r="C19" s="21"/>
      <c r="D19" s="20"/>
      <c r="E19" s="12">
        <f t="shared" si="0"/>
        <v>0</v>
      </c>
      <c r="F19" s="13">
        <f t="shared" si="1"/>
        <v>0</v>
      </c>
      <c r="G19" s="13">
        <f t="shared" si="2"/>
        <v>0</v>
      </c>
      <c r="H19" s="13">
        <f t="shared" si="3"/>
        <v>0</v>
      </c>
      <c r="Q19" s="6"/>
      <c r="T19"/>
    </row>
    <row r="20" spans="1:20" x14ac:dyDescent="0.2">
      <c r="A20" s="19"/>
      <c r="B20" s="20"/>
      <c r="C20" s="21"/>
      <c r="D20" s="20"/>
      <c r="E20" s="12">
        <f t="shared" si="0"/>
        <v>0</v>
      </c>
      <c r="F20" s="13">
        <f t="shared" si="1"/>
        <v>0</v>
      </c>
      <c r="G20" s="13">
        <f t="shared" si="2"/>
        <v>0</v>
      </c>
      <c r="H20" s="13">
        <f t="shared" si="3"/>
        <v>0</v>
      </c>
      <c r="Q20" s="6"/>
      <c r="T20"/>
    </row>
    <row r="21" spans="1:20" x14ac:dyDescent="0.2">
      <c r="A21" s="19"/>
      <c r="B21" s="20"/>
      <c r="C21" s="21"/>
      <c r="D21" s="20"/>
      <c r="E21" s="12">
        <f t="shared" si="0"/>
        <v>0</v>
      </c>
      <c r="F21" s="13">
        <f t="shared" si="1"/>
        <v>0</v>
      </c>
      <c r="G21" s="13">
        <f t="shared" si="2"/>
        <v>0</v>
      </c>
      <c r="H21" s="13">
        <f t="shared" si="3"/>
        <v>0</v>
      </c>
      <c r="Q21" s="6"/>
      <c r="T21"/>
    </row>
    <row r="22" spans="1:20" x14ac:dyDescent="0.2">
      <c r="A22" s="19"/>
      <c r="B22" s="20"/>
      <c r="C22" s="21"/>
      <c r="D22" s="20"/>
      <c r="E22" s="12">
        <f t="shared" si="0"/>
        <v>0</v>
      </c>
      <c r="F22" s="13">
        <f t="shared" si="1"/>
        <v>0</v>
      </c>
      <c r="G22" s="13">
        <f t="shared" si="2"/>
        <v>0</v>
      </c>
      <c r="H22" s="13">
        <f t="shared" si="3"/>
        <v>0</v>
      </c>
      <c r="Q22" s="6"/>
      <c r="T22"/>
    </row>
    <row r="23" spans="1:20" x14ac:dyDescent="0.2">
      <c r="A23" s="19"/>
      <c r="B23" s="20"/>
      <c r="C23" s="21"/>
      <c r="D23" s="20"/>
      <c r="E23" s="12">
        <f t="shared" si="0"/>
        <v>0</v>
      </c>
      <c r="F23" s="13">
        <f t="shared" si="1"/>
        <v>0</v>
      </c>
      <c r="G23" s="13">
        <f t="shared" si="2"/>
        <v>0</v>
      </c>
      <c r="H23" s="13">
        <f t="shared" si="3"/>
        <v>0</v>
      </c>
      <c r="Q23" s="6"/>
      <c r="T23"/>
    </row>
    <row r="24" spans="1:20" x14ac:dyDescent="0.2">
      <c r="A24" s="19"/>
      <c r="B24" s="20"/>
      <c r="C24" s="21"/>
      <c r="D24" s="20"/>
      <c r="E24" s="12">
        <f t="shared" si="0"/>
        <v>0</v>
      </c>
      <c r="F24" s="13">
        <f t="shared" si="1"/>
        <v>0</v>
      </c>
      <c r="G24" s="13">
        <f t="shared" si="2"/>
        <v>0</v>
      </c>
      <c r="H24" s="13">
        <f t="shared" si="3"/>
        <v>0</v>
      </c>
      <c r="Q24" s="6"/>
      <c r="T24"/>
    </row>
    <row r="25" spans="1:20" x14ac:dyDescent="0.2">
      <c r="A25" s="19"/>
      <c r="B25" s="20"/>
      <c r="C25" s="21"/>
      <c r="D25" s="20"/>
      <c r="E25" s="12">
        <f t="shared" si="0"/>
        <v>0</v>
      </c>
      <c r="F25" s="13">
        <f t="shared" si="1"/>
        <v>0</v>
      </c>
      <c r="G25" s="13">
        <f t="shared" si="2"/>
        <v>0</v>
      </c>
      <c r="H25" s="13">
        <f t="shared" si="3"/>
        <v>0</v>
      </c>
      <c r="Q25" s="6"/>
      <c r="T25"/>
    </row>
    <row r="26" spans="1:20" x14ac:dyDescent="0.2">
      <c r="A26" s="19"/>
      <c r="B26" s="20"/>
      <c r="C26" s="21"/>
      <c r="D26" s="20"/>
      <c r="E26" s="12">
        <f t="shared" si="0"/>
        <v>0</v>
      </c>
      <c r="F26" s="13">
        <f t="shared" si="1"/>
        <v>0</v>
      </c>
      <c r="G26" s="13">
        <f t="shared" si="2"/>
        <v>0</v>
      </c>
      <c r="H26" s="13">
        <f t="shared" si="3"/>
        <v>0</v>
      </c>
      <c r="Q26" s="6"/>
      <c r="T26"/>
    </row>
    <row r="27" spans="1:20" x14ac:dyDescent="0.2">
      <c r="A27" s="19"/>
      <c r="B27" s="20"/>
      <c r="C27" s="21"/>
      <c r="D27" s="20"/>
      <c r="E27" s="12">
        <f t="shared" si="0"/>
        <v>0</v>
      </c>
      <c r="F27" s="13">
        <f t="shared" si="1"/>
        <v>0</v>
      </c>
      <c r="G27" s="13">
        <f t="shared" si="2"/>
        <v>0</v>
      </c>
      <c r="H27" s="13">
        <f t="shared" si="3"/>
        <v>0</v>
      </c>
      <c r="Q27" s="6"/>
      <c r="T27"/>
    </row>
    <row r="28" spans="1:20" x14ac:dyDescent="0.2">
      <c r="A28" s="19"/>
      <c r="B28" s="20"/>
      <c r="C28" s="21"/>
      <c r="D28" s="20"/>
      <c r="E28" s="12">
        <f t="shared" si="0"/>
        <v>0</v>
      </c>
      <c r="F28" s="13">
        <f t="shared" si="1"/>
        <v>0</v>
      </c>
      <c r="G28" s="13">
        <f t="shared" si="2"/>
        <v>0</v>
      </c>
      <c r="H28" s="13">
        <f t="shared" si="3"/>
        <v>0</v>
      </c>
      <c r="Q28" s="6"/>
      <c r="T28"/>
    </row>
    <row r="29" spans="1:20" x14ac:dyDescent="0.2">
      <c r="A29" s="19"/>
      <c r="B29" s="20"/>
      <c r="C29" s="21"/>
      <c r="D29" s="20"/>
      <c r="E29" s="12">
        <f t="shared" si="0"/>
        <v>0</v>
      </c>
      <c r="F29" s="13">
        <f t="shared" si="1"/>
        <v>0</v>
      </c>
      <c r="G29" s="13">
        <f t="shared" si="2"/>
        <v>0</v>
      </c>
      <c r="H29" s="13">
        <f t="shared" si="3"/>
        <v>0</v>
      </c>
      <c r="Q29" s="6"/>
      <c r="T29"/>
    </row>
    <row r="30" spans="1:20" x14ac:dyDescent="0.2">
      <c r="A30" s="19"/>
      <c r="B30" s="20"/>
      <c r="C30" s="21"/>
      <c r="D30" s="20"/>
      <c r="E30" s="12">
        <f t="shared" si="0"/>
        <v>0</v>
      </c>
      <c r="F30" s="13">
        <f t="shared" si="1"/>
        <v>0</v>
      </c>
      <c r="G30" s="13">
        <f t="shared" si="2"/>
        <v>0</v>
      </c>
      <c r="H30" s="13">
        <f t="shared" si="3"/>
        <v>0</v>
      </c>
      <c r="Q30" s="6"/>
      <c r="T30"/>
    </row>
    <row r="31" spans="1:20" x14ac:dyDescent="0.2">
      <c r="A31" s="10" t="s">
        <v>4</v>
      </c>
      <c r="B31" s="22"/>
      <c r="C31" s="23"/>
      <c r="D31" s="22"/>
      <c r="E31" s="14">
        <f>SUM(E8:E30)</f>
        <v>30.8</v>
      </c>
      <c r="F31" s="15"/>
      <c r="G31" s="15"/>
      <c r="H31" s="15">
        <f>SUM(H8:H30)</f>
        <v>2087363.8800000001</v>
      </c>
      <c r="Q31" s="6"/>
      <c r="T31"/>
    </row>
    <row r="34" spans="1:4" ht="15" x14ac:dyDescent="0.25">
      <c r="A34" s="17" t="s">
        <v>11</v>
      </c>
      <c r="B34" s="24">
        <v>25.5</v>
      </c>
      <c r="C34" s="17" t="s">
        <v>12</v>
      </c>
      <c r="D34" s="16"/>
    </row>
    <row r="36" spans="1:4" x14ac:dyDescent="0.2">
      <c r="A36" s="7" t="s">
        <v>13</v>
      </c>
    </row>
    <row r="37" spans="1:4" x14ac:dyDescent="0.2">
      <c r="A37" s="9" t="s">
        <v>14</v>
      </c>
      <c r="B37" s="12">
        <f>E31</f>
        <v>30.8</v>
      </c>
    </row>
    <row r="38" spans="1:4" x14ac:dyDescent="0.2">
      <c r="A38" s="9" t="s">
        <v>69</v>
      </c>
      <c r="B38" s="72">
        <f>CEILING(H31,100)</f>
        <v>2087400</v>
      </c>
      <c r="D38" s="73"/>
    </row>
    <row r="39" spans="1:4" x14ac:dyDescent="0.2">
      <c r="A39" s="9" t="s">
        <v>70</v>
      </c>
      <c r="B39" s="18">
        <f>CEILING(B38/B34,10)</f>
        <v>81860</v>
      </c>
    </row>
  </sheetData>
  <mergeCells count="3">
    <mergeCell ref="B3:I3"/>
    <mergeCell ref="B4:I4"/>
    <mergeCell ref="B5:I5"/>
  </mergeCells>
  <pageMargins left="0.78740157499999996" right="0.78740157499999996" top="0.984251969" bottom="0.984251969" header="0.4921259845" footer="0.4921259845"/>
  <pageSetup paperSize="9" scale="46" orientation="landscape" horizontalDpi="4294967293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8"/>
  <sheetViews>
    <sheetView zoomScale="90" zoomScaleNormal="90" workbookViewId="0">
      <selection activeCell="F38" sqref="F38"/>
    </sheetView>
  </sheetViews>
  <sheetFormatPr defaultRowHeight="14.25" x14ac:dyDescent="0.2"/>
  <cols>
    <col min="1" max="1" width="33.42578125" style="27" customWidth="1"/>
    <col min="2" max="2" width="14.42578125" style="27" customWidth="1"/>
    <col min="3" max="9" width="12.85546875" style="27" customWidth="1"/>
    <col min="10" max="10" width="16" style="27" customWidth="1"/>
    <col min="11" max="11" width="17.140625" style="27" customWidth="1"/>
    <col min="12" max="16384" width="9.140625" style="27"/>
  </cols>
  <sheetData>
    <row r="1" spans="1:20" ht="18" x14ac:dyDescent="0.25">
      <c r="A1" s="26" t="s">
        <v>16</v>
      </c>
    </row>
    <row r="2" spans="1:20" ht="18" x14ac:dyDescent="0.25">
      <c r="A2" s="26"/>
    </row>
    <row r="3" spans="1:20" x14ac:dyDescent="0.2">
      <c r="A3" s="28" t="s">
        <v>0</v>
      </c>
      <c r="B3" s="97"/>
      <c r="C3" s="97"/>
      <c r="D3" s="97"/>
      <c r="E3" s="97"/>
      <c r="F3" s="97"/>
      <c r="G3" s="97"/>
      <c r="H3" s="97"/>
      <c r="I3" s="97"/>
      <c r="J3" s="29"/>
      <c r="K3" s="29"/>
      <c r="L3" s="29"/>
      <c r="M3" s="29"/>
      <c r="N3" s="29"/>
      <c r="O3" s="29"/>
      <c r="T3" s="30"/>
    </row>
    <row r="4" spans="1:20" x14ac:dyDescent="0.2">
      <c r="A4" s="28" t="s">
        <v>1</v>
      </c>
      <c r="B4" s="97" t="s">
        <v>2</v>
      </c>
      <c r="C4" s="97"/>
      <c r="D4" s="97"/>
      <c r="E4" s="97"/>
      <c r="F4" s="97"/>
      <c r="G4" s="97"/>
      <c r="H4" s="97"/>
      <c r="I4" s="97"/>
      <c r="J4" s="29"/>
      <c r="K4" s="29"/>
      <c r="L4" s="29"/>
      <c r="M4" s="29"/>
      <c r="N4" s="29"/>
      <c r="O4" s="29"/>
      <c r="T4" s="30"/>
    </row>
    <row r="5" spans="1:20" x14ac:dyDescent="0.2">
      <c r="A5" s="28" t="s">
        <v>5</v>
      </c>
      <c r="B5" s="97"/>
      <c r="C5" s="97"/>
      <c r="D5" s="97"/>
      <c r="E5" s="97"/>
      <c r="F5" s="97"/>
      <c r="G5" s="97"/>
      <c r="H5" s="97"/>
      <c r="I5" s="97"/>
      <c r="J5" s="29"/>
      <c r="K5" s="29"/>
      <c r="L5" s="29"/>
      <c r="M5" s="29"/>
      <c r="N5" s="29"/>
      <c r="O5" s="29"/>
      <c r="T5" s="30"/>
    </row>
    <row r="7" spans="1:20" ht="15" x14ac:dyDescent="0.25">
      <c r="A7" s="31"/>
    </row>
    <row r="8" spans="1:20" ht="42.75" x14ac:dyDescent="0.2">
      <c r="A8" s="32" t="s">
        <v>17</v>
      </c>
      <c r="B8" s="32" t="s">
        <v>18</v>
      </c>
      <c r="C8" s="32" t="s">
        <v>19</v>
      </c>
      <c r="D8" s="32" t="s">
        <v>20</v>
      </c>
      <c r="E8" s="32" t="s">
        <v>21</v>
      </c>
      <c r="F8" s="32" t="s">
        <v>22</v>
      </c>
      <c r="G8" s="32" t="s">
        <v>23</v>
      </c>
      <c r="H8" s="32" t="s">
        <v>24</v>
      </c>
      <c r="I8" s="32" t="s">
        <v>25</v>
      </c>
      <c r="J8" s="32" t="s">
        <v>26</v>
      </c>
      <c r="K8" s="32" t="s">
        <v>27</v>
      </c>
    </row>
    <row r="9" spans="1:20" x14ac:dyDescent="0.2">
      <c r="A9" s="33" t="s">
        <v>28</v>
      </c>
      <c r="B9" s="34">
        <v>5</v>
      </c>
      <c r="C9" s="35">
        <v>400</v>
      </c>
      <c r="D9" s="35">
        <f>100*(B9-1)</f>
        <v>400</v>
      </c>
      <c r="E9" s="35">
        <f>45*B9</f>
        <v>225</v>
      </c>
      <c r="F9" s="35">
        <f>E9*0.4</f>
        <v>90</v>
      </c>
      <c r="G9" s="35">
        <v>50</v>
      </c>
      <c r="H9" s="35">
        <v>600</v>
      </c>
      <c r="I9" s="36">
        <f>CEILING(SUM(C9:H9),100)</f>
        <v>1800</v>
      </c>
      <c r="J9" s="34">
        <v>3</v>
      </c>
      <c r="K9" s="36">
        <f>I9*J9</f>
        <v>5400</v>
      </c>
    </row>
    <row r="10" spans="1:20" x14ac:dyDescent="0.2">
      <c r="A10" s="33" t="s">
        <v>29</v>
      </c>
      <c r="B10" s="34">
        <v>5</v>
      </c>
      <c r="C10" s="35">
        <v>1000</v>
      </c>
      <c r="D10" s="35">
        <f>150*(B10-1)</f>
        <v>600</v>
      </c>
      <c r="E10" s="35">
        <f t="shared" ref="E10:E12" si="0">45*B10</f>
        <v>225</v>
      </c>
      <c r="F10" s="35">
        <f t="shared" ref="F10:F12" si="1">E10*0.4</f>
        <v>90</v>
      </c>
      <c r="G10" s="35">
        <v>100</v>
      </c>
      <c r="H10" s="35">
        <v>600</v>
      </c>
      <c r="I10" s="36">
        <f t="shared" ref="I10:I12" si="2">CEILING(SUM(C10:H10),100)</f>
        <v>2700</v>
      </c>
      <c r="J10" s="34">
        <v>2</v>
      </c>
      <c r="K10" s="36">
        <f t="shared" ref="K10:K13" si="3">I10*J10</f>
        <v>5400</v>
      </c>
    </row>
    <row r="11" spans="1:20" x14ac:dyDescent="0.2">
      <c r="A11" s="33" t="s">
        <v>30</v>
      </c>
      <c r="B11" s="34">
        <v>30</v>
      </c>
      <c r="C11" s="35">
        <v>400</v>
      </c>
      <c r="D11" s="35">
        <f>80*(B11-1)</f>
        <v>2320</v>
      </c>
      <c r="E11" s="35">
        <f t="shared" si="0"/>
        <v>1350</v>
      </c>
      <c r="F11" s="35">
        <f t="shared" si="1"/>
        <v>540</v>
      </c>
      <c r="G11" s="35">
        <v>100</v>
      </c>
      <c r="H11" s="35">
        <v>0</v>
      </c>
      <c r="I11" s="36">
        <f t="shared" si="2"/>
        <v>4800</v>
      </c>
      <c r="J11" s="34">
        <v>1</v>
      </c>
      <c r="K11" s="36">
        <f t="shared" si="3"/>
        <v>4800</v>
      </c>
    </row>
    <row r="12" spans="1:20" x14ac:dyDescent="0.2">
      <c r="A12" s="33" t="s">
        <v>31</v>
      </c>
      <c r="B12" s="34">
        <v>3</v>
      </c>
      <c r="C12" s="35">
        <v>400</v>
      </c>
      <c r="D12" s="35">
        <f t="shared" ref="D12" si="4">100*(B12-1)</f>
        <v>200</v>
      </c>
      <c r="E12" s="35">
        <f t="shared" si="0"/>
        <v>135</v>
      </c>
      <c r="F12" s="35">
        <f t="shared" si="1"/>
        <v>54</v>
      </c>
      <c r="G12" s="35">
        <v>30</v>
      </c>
      <c r="H12" s="35">
        <v>0</v>
      </c>
      <c r="I12" s="36">
        <f t="shared" si="2"/>
        <v>900</v>
      </c>
      <c r="J12" s="34">
        <v>6</v>
      </c>
      <c r="K12" s="36">
        <f t="shared" si="3"/>
        <v>5400</v>
      </c>
    </row>
    <row r="13" spans="1:20" x14ac:dyDescent="0.2">
      <c r="A13" s="37"/>
      <c r="B13" s="38"/>
      <c r="C13" s="38"/>
      <c r="D13" s="38"/>
      <c r="E13" s="38"/>
      <c r="F13" s="38"/>
      <c r="G13" s="38"/>
      <c r="H13" s="38"/>
      <c r="I13" s="36">
        <f>CEILING(SUM(C13:H13),100)</f>
        <v>0</v>
      </c>
      <c r="J13" s="34"/>
      <c r="K13" s="36">
        <f t="shared" si="3"/>
        <v>0</v>
      </c>
    </row>
    <row r="14" spans="1:20" ht="15" x14ac:dyDescent="0.25">
      <c r="A14" s="98" t="s">
        <v>4</v>
      </c>
      <c r="B14" s="99"/>
      <c r="C14" s="99"/>
      <c r="D14" s="99"/>
      <c r="E14" s="99"/>
      <c r="F14" s="99"/>
      <c r="G14" s="99"/>
      <c r="H14" s="99"/>
      <c r="I14" s="99"/>
      <c r="J14" s="100"/>
      <c r="K14" s="39">
        <f>SUM(K9:K13)</f>
        <v>21000</v>
      </c>
    </row>
    <row r="15" spans="1:20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20" x14ac:dyDescent="0.2">
      <c r="A16" s="41" t="s">
        <v>32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1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1:11" x14ac:dyDescent="0.2">
      <c r="A18" s="42"/>
      <c r="B18" s="43"/>
      <c r="C18" s="42"/>
      <c r="D18" s="43"/>
    </row>
  </sheetData>
  <mergeCells count="4">
    <mergeCell ref="B3:I3"/>
    <mergeCell ref="B4:I4"/>
    <mergeCell ref="B5:I5"/>
    <mergeCell ref="A14:J1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85" zoomScaleNormal="85" workbookViewId="0">
      <selection activeCell="C25" sqref="C25"/>
    </sheetView>
  </sheetViews>
  <sheetFormatPr defaultRowHeight="14.25" x14ac:dyDescent="0.2"/>
  <cols>
    <col min="1" max="1" width="37.5703125" style="44" customWidth="1"/>
    <col min="2" max="2" width="14.85546875" style="44" customWidth="1"/>
    <col min="3" max="3" width="17" style="44" customWidth="1"/>
    <col min="4" max="4" width="16.28515625" style="44" bestFit="1" customWidth="1"/>
    <col min="5" max="5" width="17.85546875" style="44" customWidth="1"/>
    <col min="6" max="6" width="12.42578125" style="44" customWidth="1"/>
    <col min="7" max="7" width="16.28515625" style="44" customWidth="1"/>
    <col min="8" max="8" width="19.28515625" style="44" customWidth="1"/>
    <col min="9" max="9" width="5.5703125" style="44" customWidth="1"/>
    <col min="10" max="10" width="19.140625" style="44" customWidth="1"/>
    <col min="11" max="16384" width="9.140625" style="44"/>
  </cols>
  <sheetData>
    <row r="1" spans="1:18" ht="18" x14ac:dyDescent="0.25">
      <c r="A1" s="1" t="s">
        <v>33</v>
      </c>
    </row>
    <row r="3" spans="1:18" s="45" customFormat="1" ht="12.75" x14ac:dyDescent="0.2">
      <c r="A3" s="11" t="s">
        <v>0</v>
      </c>
      <c r="B3" s="94"/>
      <c r="C3" s="94"/>
      <c r="D3" s="94"/>
      <c r="E3" s="94"/>
      <c r="F3" s="94"/>
      <c r="G3" s="94"/>
      <c r="H3" s="2"/>
      <c r="I3" s="2"/>
      <c r="J3" s="2"/>
      <c r="K3" s="2"/>
      <c r="L3" s="2"/>
      <c r="M3" s="2"/>
      <c r="R3" s="46"/>
    </row>
    <row r="4" spans="1:18" s="45" customFormat="1" ht="12.75" x14ac:dyDescent="0.2">
      <c r="A4" s="11" t="s">
        <v>1</v>
      </c>
      <c r="B4" s="101" t="s">
        <v>2</v>
      </c>
      <c r="C4" s="101"/>
      <c r="D4" s="101"/>
      <c r="E4" s="101"/>
      <c r="F4" s="101"/>
      <c r="G4" s="101"/>
      <c r="H4" s="2"/>
      <c r="I4" s="2"/>
      <c r="J4" s="2"/>
      <c r="K4" s="2"/>
      <c r="L4" s="2"/>
      <c r="M4" s="2"/>
      <c r="R4" s="46"/>
    </row>
    <row r="5" spans="1:18" s="45" customFormat="1" ht="12.75" x14ac:dyDescent="0.2">
      <c r="A5" s="11" t="s">
        <v>5</v>
      </c>
      <c r="B5" s="102"/>
      <c r="C5" s="103"/>
      <c r="D5" s="103"/>
      <c r="E5" s="103"/>
      <c r="F5" s="103"/>
      <c r="G5" s="104"/>
      <c r="H5" s="2"/>
      <c r="I5" s="2"/>
      <c r="J5" s="2"/>
      <c r="K5" s="2"/>
      <c r="L5" s="2"/>
      <c r="M5" s="2"/>
      <c r="R5" s="46"/>
    </row>
    <row r="9" spans="1:18" s="49" customFormat="1" ht="60" x14ac:dyDescent="0.2">
      <c r="A9" s="47" t="s">
        <v>34</v>
      </c>
      <c r="B9" s="47" t="s">
        <v>35</v>
      </c>
      <c r="C9" s="47" t="s">
        <v>36</v>
      </c>
      <c r="D9" s="47" t="s">
        <v>37</v>
      </c>
      <c r="E9" s="47" t="s">
        <v>38</v>
      </c>
      <c r="F9" s="47" t="s">
        <v>39</v>
      </c>
      <c r="G9" s="47" t="s">
        <v>40</v>
      </c>
      <c r="H9" s="47" t="s">
        <v>41</v>
      </c>
      <c r="I9" s="48"/>
      <c r="J9" s="47" t="s">
        <v>93</v>
      </c>
    </row>
    <row r="10" spans="1:18" s="49" customFormat="1" ht="60" x14ac:dyDescent="0.2">
      <c r="A10" s="47" t="s">
        <v>42</v>
      </c>
      <c r="B10" s="47" t="s">
        <v>43</v>
      </c>
      <c r="C10" s="47" t="s">
        <v>44</v>
      </c>
      <c r="D10" s="47" t="s">
        <v>45</v>
      </c>
      <c r="E10" s="47" t="s">
        <v>46</v>
      </c>
      <c r="F10" s="47" t="s">
        <v>47</v>
      </c>
      <c r="G10" s="47" t="s">
        <v>48</v>
      </c>
      <c r="H10" s="47" t="s">
        <v>49</v>
      </c>
      <c r="I10" s="48"/>
      <c r="J10" s="47" t="s">
        <v>94</v>
      </c>
    </row>
    <row r="11" spans="1:18" ht="15" x14ac:dyDescent="0.25">
      <c r="A11" s="84"/>
      <c r="B11" s="85"/>
      <c r="C11" s="86"/>
      <c r="D11" s="50" t="str">
        <f>IF(C11=0,"",B11/C11/12)</f>
        <v/>
      </c>
      <c r="E11" s="87"/>
      <c r="F11" s="88"/>
      <c r="G11" s="50" t="str">
        <f>IF(D11="","",D11*E11*F11)</f>
        <v/>
      </c>
      <c r="H11" s="51">
        <f>IF(G11="",0,G11/$B$17)</f>
        <v>0</v>
      </c>
      <c r="J11" s="50" t="e">
        <f>B11-G11</f>
        <v>#VALUE!</v>
      </c>
    </row>
    <row r="12" spans="1:18" ht="15" x14ac:dyDescent="0.25">
      <c r="A12" s="84"/>
      <c r="B12" s="85"/>
      <c r="C12" s="86"/>
      <c r="D12" s="50" t="str">
        <f t="shared" ref="D12:D14" si="0">IF(C12=0,"",B12/C12/12)</f>
        <v/>
      </c>
      <c r="E12" s="87"/>
      <c r="F12" s="88"/>
      <c r="G12" s="50" t="str">
        <f t="shared" ref="G12:G14" si="1">IF(D12="","",D12*E12*F12)</f>
        <v/>
      </c>
      <c r="H12" s="51">
        <f t="shared" ref="H12:H14" si="2">IF(G12="",0,G12/$B$17)</f>
        <v>0</v>
      </c>
      <c r="J12" s="50" t="e">
        <f t="shared" ref="J12" si="3">B12-G12</f>
        <v>#VALUE!</v>
      </c>
    </row>
    <row r="13" spans="1:18" ht="15" x14ac:dyDescent="0.25">
      <c r="A13" s="84"/>
      <c r="B13" s="85"/>
      <c r="C13" s="86"/>
      <c r="D13" s="50" t="str">
        <f t="shared" si="0"/>
        <v/>
      </c>
      <c r="E13" s="87"/>
      <c r="F13" s="88"/>
      <c r="G13" s="50" t="str">
        <f t="shared" si="1"/>
        <v/>
      </c>
      <c r="H13" s="51">
        <f t="shared" si="2"/>
        <v>0</v>
      </c>
      <c r="J13" s="50"/>
    </row>
    <row r="14" spans="1:18" ht="15.75" thickBot="1" x14ac:dyDescent="0.3">
      <c r="A14" s="84"/>
      <c r="B14" s="85"/>
      <c r="C14" s="86"/>
      <c r="D14" s="50" t="str">
        <f t="shared" si="0"/>
        <v/>
      </c>
      <c r="E14" s="87"/>
      <c r="F14" s="88"/>
      <c r="G14" s="50" t="str">
        <f t="shared" si="1"/>
        <v/>
      </c>
      <c r="H14" s="51">
        <f t="shared" si="2"/>
        <v>0</v>
      </c>
      <c r="J14" s="50"/>
    </row>
    <row r="15" spans="1:18" ht="15.75" thickBot="1" x14ac:dyDescent="0.3">
      <c r="A15" s="52" t="s">
        <v>50</v>
      </c>
      <c r="B15" s="53">
        <f>SUM(B11:B14)</f>
        <v>0</v>
      </c>
      <c r="C15" s="52"/>
      <c r="D15" s="52"/>
      <c r="E15" s="52"/>
      <c r="F15" s="52"/>
      <c r="G15" s="54">
        <f>SUM(G11:G14)</f>
        <v>0</v>
      </c>
      <c r="H15" s="55">
        <f>SUM(H11:H14)</f>
        <v>0</v>
      </c>
      <c r="I15" s="56"/>
      <c r="J15" s="57" t="e">
        <f>SUM(J11:J14)</f>
        <v>#VALUE!</v>
      </c>
    </row>
    <row r="17" spans="1:3" x14ac:dyDescent="0.2">
      <c r="A17" s="58" t="s">
        <v>11</v>
      </c>
      <c r="B17" s="89">
        <v>25.5</v>
      </c>
      <c r="C17" s="58" t="s">
        <v>12</v>
      </c>
    </row>
    <row r="18" spans="1:3" x14ac:dyDescent="0.2">
      <c r="A18" s="58"/>
      <c r="B18" s="58"/>
      <c r="C18" s="58"/>
    </row>
    <row r="19" spans="1:3" x14ac:dyDescent="0.2">
      <c r="A19" s="90" t="s">
        <v>32</v>
      </c>
    </row>
    <row r="21" spans="1:3" ht="15" x14ac:dyDescent="0.25">
      <c r="A21" s="59"/>
    </row>
  </sheetData>
  <mergeCells count="3">
    <mergeCell ref="B3:G3"/>
    <mergeCell ref="B4:G4"/>
    <mergeCell ref="B5:G5"/>
  </mergeCells>
  <pageMargins left="0.7" right="0.7" top="0.78740157499999996" bottom="0.78740157499999996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ROZPOČET</vt:lpstr>
      <vt:lpstr>Osobní náklady</vt:lpstr>
      <vt:lpstr>Cestovní náhrady</vt:lpstr>
      <vt:lpstr>Odpisy</vt:lpstr>
      <vt:lpstr>'Osobní náklady'!Oblast_tisku</vt:lpstr>
    </vt:vector>
  </TitlesOfParts>
  <Company>Univerzita Pardubice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Machacova Lucie</dc:creator>
  <cp:lastModifiedBy>Lucie Peterková</cp:lastModifiedBy>
  <dcterms:created xsi:type="dcterms:W3CDTF">2018-12-27T12:38:26Z</dcterms:created>
  <dcterms:modified xsi:type="dcterms:W3CDTF">2019-06-24T09:30:22Z</dcterms:modified>
</cp:coreProperties>
</file>